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20" windowWidth="15285" windowHeight="8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<sst xmlns="http://schemas.openxmlformats.org/spreadsheetml/2006/main" count="151" uniqueCount="119">
  <si>
    <t>Калькулятор проектируемого троллейного спуска (ПТС)</t>
  </si>
  <si>
    <t>Блок входных данных (измеряемых и принятых)</t>
  </si>
  <si>
    <t>1.</t>
  </si>
  <si>
    <t>2.</t>
  </si>
  <si>
    <t>Высота закрепления троллея от поверхности земли, м</t>
  </si>
  <si>
    <t>3.</t>
  </si>
  <si>
    <t>Масса спускающегося по троллее объекта, кг</t>
  </si>
  <si>
    <t>4.</t>
  </si>
  <si>
    <t>Длина свободно проложенного по земле троллея, м</t>
  </si>
  <si>
    <t>5.</t>
  </si>
  <si>
    <t>Длина первичной выборки, м</t>
  </si>
  <si>
    <t>6.</t>
  </si>
  <si>
    <t>d=</t>
  </si>
  <si>
    <t>m=</t>
  </si>
  <si>
    <t>S=</t>
  </si>
  <si>
    <r>
      <t>D</t>
    </r>
    <r>
      <rPr>
        <sz val="10"/>
        <rFont val="Arial Cyr"/>
        <family val="0"/>
      </rPr>
      <t>S=</t>
    </r>
  </si>
  <si>
    <t>7.</t>
  </si>
  <si>
    <t>Принятый тормозной путь, м</t>
  </si>
  <si>
    <t>Максимально допустимое разрывное усилие троса, кН</t>
  </si>
  <si>
    <r>
      <t>L</t>
    </r>
    <r>
      <rPr>
        <sz val="6"/>
        <rFont val="Arial Cyr"/>
        <family val="0"/>
      </rPr>
      <t>T</t>
    </r>
    <r>
      <rPr>
        <sz val="10"/>
        <rFont val="Arial Cyr"/>
        <family val="0"/>
      </rPr>
      <t>=</t>
    </r>
  </si>
  <si>
    <r>
      <t>g</t>
    </r>
    <r>
      <rPr>
        <sz val="6"/>
        <rFont val="Arial Cyr"/>
        <family val="0"/>
      </rPr>
      <t>1</t>
    </r>
    <r>
      <rPr>
        <sz val="10"/>
        <rFont val="Arial Cyr"/>
        <family val="0"/>
      </rPr>
      <t>=</t>
    </r>
  </si>
  <si>
    <r>
      <t>h</t>
    </r>
    <r>
      <rPr>
        <sz val="6"/>
        <rFont val="Arial Cyr"/>
        <family val="0"/>
      </rPr>
      <t>A</t>
    </r>
    <r>
      <rPr>
        <sz val="10"/>
        <rFont val="Arial Cyr"/>
        <family val="0"/>
      </rPr>
      <t>=h</t>
    </r>
    <r>
      <rPr>
        <sz val="6"/>
        <rFont val="Arial Cyr"/>
        <family val="0"/>
      </rPr>
      <t>B</t>
    </r>
    <r>
      <rPr>
        <sz val="10"/>
        <rFont val="Arial Cyr"/>
        <family val="0"/>
      </rPr>
      <t>=</t>
    </r>
  </si>
  <si>
    <t>Удельная масса 1-го погонного метра троса, кг/пм</t>
  </si>
  <si>
    <r>
      <t>r</t>
    </r>
    <r>
      <rPr>
        <sz val="10"/>
        <rFont val="Arial Cyr"/>
        <family val="0"/>
      </rPr>
      <t>=</t>
    </r>
  </si>
  <si>
    <t>Диаметр используемого для троллея троса (10 или 12), мм</t>
  </si>
  <si>
    <t>Определение геометрических параметров троллейного спуска</t>
  </si>
  <si>
    <r>
      <t>S</t>
    </r>
    <r>
      <rPr>
        <sz val="6"/>
        <rFont val="Arial Cyr"/>
        <family val="0"/>
      </rPr>
      <t>1</t>
    </r>
    <r>
      <rPr>
        <sz val="10"/>
        <rFont val="Arial Cyr"/>
        <family val="0"/>
      </rPr>
      <t>=</t>
    </r>
  </si>
  <si>
    <t>Угол между ветвями тролея при первичной натяжке, град.</t>
  </si>
  <si>
    <t>Угол между ветвью тролея и линией уровня, град.</t>
  </si>
  <si>
    <r>
      <t>j</t>
    </r>
    <r>
      <rPr>
        <sz val="6"/>
        <rFont val="Arial Cyr"/>
        <family val="0"/>
      </rPr>
      <t>1</t>
    </r>
    <r>
      <rPr>
        <sz val="10"/>
        <rFont val="Arial Cyr"/>
        <family val="0"/>
      </rPr>
      <t>=</t>
    </r>
  </si>
  <si>
    <t>Общая длина пролета троллейного спуска, м</t>
  </si>
  <si>
    <t>Общий перепад высот троллейного спуска, м</t>
  </si>
  <si>
    <t>Расстояние между анкерными точками А и В, м</t>
  </si>
  <si>
    <t>Длина большей ветви троллеи при первом натяжении, м</t>
  </si>
  <si>
    <r>
      <t>L</t>
    </r>
    <r>
      <rPr>
        <sz val="6"/>
        <rFont val="Arial Cyr"/>
        <family val="0"/>
      </rPr>
      <t>AC1</t>
    </r>
    <r>
      <rPr>
        <sz val="10"/>
        <rFont val="Arial Cyr"/>
        <family val="0"/>
      </rPr>
      <t>=</t>
    </r>
  </si>
  <si>
    <t>L=</t>
  </si>
  <si>
    <t>H=</t>
  </si>
  <si>
    <r>
      <t>L</t>
    </r>
    <r>
      <rPr>
        <sz val="6"/>
        <rFont val="Arial Cyr"/>
        <family val="0"/>
      </rPr>
      <t>AB</t>
    </r>
    <r>
      <rPr>
        <sz val="10"/>
        <rFont val="Arial Cyr"/>
        <family val="0"/>
      </rPr>
      <t>=</t>
    </r>
  </si>
  <si>
    <t>8.</t>
  </si>
  <si>
    <t>Длина большей ветви троллеи при втором натяжении, м</t>
  </si>
  <si>
    <r>
      <t>L</t>
    </r>
    <r>
      <rPr>
        <sz val="6"/>
        <rFont val="Arial Cyr"/>
        <family val="0"/>
      </rPr>
      <t>AC2</t>
    </r>
    <r>
      <rPr>
        <sz val="10"/>
        <rFont val="Arial Cyr"/>
        <family val="0"/>
      </rPr>
      <t>=</t>
    </r>
  </si>
  <si>
    <t>Общая длина троса при первом натяжении, м</t>
  </si>
  <si>
    <t>Общая длина троса при втором натяжении, м</t>
  </si>
  <si>
    <r>
      <t>S</t>
    </r>
    <r>
      <rPr>
        <sz val="6"/>
        <rFont val="Arial Cyr"/>
        <family val="0"/>
      </rPr>
      <t>2</t>
    </r>
    <r>
      <rPr>
        <sz val="10"/>
        <rFont val="Arial Cyr"/>
        <family val="0"/>
      </rPr>
      <t>=</t>
    </r>
  </si>
  <si>
    <t>Силовой расчет проектируемого троллейного спуска</t>
  </si>
  <si>
    <r>
      <t>g</t>
    </r>
    <r>
      <rPr>
        <sz val="6"/>
        <rFont val="Arial Cyr"/>
        <family val="0"/>
      </rPr>
      <t>2cp</t>
    </r>
    <r>
      <rPr>
        <sz val="10"/>
        <rFont val="Arial Cyr"/>
        <family val="0"/>
      </rPr>
      <t>=</t>
    </r>
  </si>
  <si>
    <t>Угол между ветвями троллея при центральном положении, град.</t>
  </si>
  <si>
    <t>F=</t>
  </si>
  <si>
    <t>Общая нагрузка на троллей, кН</t>
  </si>
  <si>
    <t>Максимальная нагрузка на анкерные точки А и В, кН</t>
  </si>
  <si>
    <t>Проверка условия на прочность выбраного троса</t>
  </si>
  <si>
    <t>Проверка условия на прочность выбранной анкерной точки</t>
  </si>
  <si>
    <r>
      <t>F</t>
    </r>
    <r>
      <rPr>
        <sz val="6"/>
        <rFont val="Arial Cyr"/>
        <family val="0"/>
      </rPr>
      <t>max</t>
    </r>
    <r>
      <rPr>
        <sz val="10"/>
        <rFont val="Arial Cyr"/>
        <family val="0"/>
      </rPr>
      <t>=F</t>
    </r>
    <r>
      <rPr>
        <sz val="6"/>
        <rFont val="Arial Cyr"/>
        <family val="0"/>
      </rPr>
      <t>A</t>
    </r>
    <r>
      <rPr>
        <sz val="10"/>
        <rFont val="Arial Cyr"/>
        <family val="0"/>
      </rPr>
      <t>=F</t>
    </r>
    <r>
      <rPr>
        <sz val="6"/>
        <rFont val="Arial Cyr"/>
        <family val="0"/>
      </rPr>
      <t>B</t>
    </r>
    <r>
      <rPr>
        <sz val="10"/>
        <rFont val="Arial Cyr"/>
        <family val="0"/>
      </rPr>
      <t>=</t>
    </r>
  </si>
  <si>
    <t>Максимально допустимый опрокидывающий момент, кН.м</t>
  </si>
  <si>
    <r>
      <t>M</t>
    </r>
    <r>
      <rPr>
        <sz val="6"/>
        <rFont val="Arial Cyr"/>
        <family val="0"/>
      </rPr>
      <t>A</t>
    </r>
    <r>
      <rPr>
        <sz val="10"/>
        <rFont val="Arial Cyr"/>
        <family val="0"/>
      </rPr>
      <t>=M</t>
    </r>
    <r>
      <rPr>
        <sz val="6"/>
        <rFont val="Arial Cyr"/>
        <family val="0"/>
      </rPr>
      <t>B</t>
    </r>
    <r>
      <rPr>
        <sz val="10"/>
        <rFont val="Arial Cyr"/>
        <family val="0"/>
      </rPr>
      <t>≤[M</t>
    </r>
    <r>
      <rPr>
        <sz val="6"/>
        <rFont val="Arial Cyr"/>
        <family val="0"/>
      </rPr>
      <t>ДОП</t>
    </r>
    <r>
      <rPr>
        <sz val="10"/>
        <rFont val="Arial Cyr"/>
        <family val="0"/>
      </rPr>
      <t>]</t>
    </r>
  </si>
  <si>
    <r>
      <t>[M</t>
    </r>
    <r>
      <rPr>
        <sz val="6"/>
        <rFont val="Arial Cyr"/>
        <family val="0"/>
      </rPr>
      <t>ДОП</t>
    </r>
    <r>
      <rPr>
        <sz val="10"/>
        <rFont val="Arial Cyr"/>
        <family val="0"/>
      </rPr>
      <t>]=</t>
    </r>
  </si>
  <si>
    <r>
      <t>F</t>
    </r>
    <r>
      <rPr>
        <sz val="6"/>
        <rFont val="Arial Cyr"/>
        <family val="0"/>
      </rPr>
      <t>max</t>
    </r>
    <r>
      <rPr>
        <sz val="10"/>
        <rFont val="Arial Cyr"/>
        <family val="0"/>
      </rPr>
      <t>≤[F</t>
    </r>
    <r>
      <rPr>
        <sz val="6"/>
        <rFont val="Arial Cyr"/>
        <family val="0"/>
      </rPr>
      <t>ДОП</t>
    </r>
    <r>
      <rPr>
        <sz val="10"/>
        <rFont val="Arial Cyr"/>
        <family val="0"/>
      </rPr>
      <t>]</t>
    </r>
  </si>
  <si>
    <r>
      <t>[F</t>
    </r>
    <r>
      <rPr>
        <sz val="6"/>
        <rFont val="Arial Cyr"/>
        <family val="0"/>
      </rPr>
      <t>ДОП</t>
    </r>
    <r>
      <rPr>
        <sz val="10"/>
        <rFont val="Arial Cyr"/>
        <family val="0"/>
      </rPr>
      <t>]</t>
    </r>
    <r>
      <rPr>
        <sz val="10"/>
        <rFont val="Arial Cyr"/>
        <family val="0"/>
      </rPr>
      <t>=</t>
    </r>
  </si>
  <si>
    <t>Кинематический расчет проектируемого троллейного спуска</t>
  </si>
  <si>
    <t>Количество выбранных участков на траектории движения</t>
  </si>
  <si>
    <t>N=</t>
  </si>
  <si>
    <t>Длина выбранного участка на траектории движения, м</t>
  </si>
  <si>
    <t>Δx=</t>
  </si>
  <si>
    <t>Расчет скорости спускаемого объекта табличным способом</t>
  </si>
  <si>
    <t>Точки</t>
  </si>
  <si>
    <t>B</t>
  </si>
  <si>
    <t>CT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</si>
  <si>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</si>
  <si>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</si>
  <si>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</si>
  <si>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</si>
  <si>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</si>
  <si>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</si>
  <si>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</si>
  <si>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</si>
  <si>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</si>
  <si>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A</t>
  </si>
  <si>
    <t>i=</t>
  </si>
  <si>
    <t>X=</t>
  </si>
  <si>
    <t>Ψ=</t>
  </si>
  <si>
    <t>Y=</t>
  </si>
  <si>
    <t>λ=</t>
  </si>
  <si>
    <t>X'=</t>
  </si>
  <si>
    <t>Y'=</t>
  </si>
  <si>
    <t>ΔX'=</t>
  </si>
  <si>
    <t>ΔY'=</t>
  </si>
  <si>
    <t>ΔS'=</t>
  </si>
  <si>
    <t>V=</t>
  </si>
  <si>
    <t>t=</t>
  </si>
  <si>
    <t>Σ</t>
  </si>
  <si>
    <t>Угол наклона условной линии (АВ) к линии уровня, град.</t>
  </si>
  <si>
    <t>Скорость в начале тормозного пути, м/с</t>
  </si>
  <si>
    <r>
      <t>V</t>
    </r>
    <r>
      <rPr>
        <sz val="6"/>
        <rFont val="Arial Cyr"/>
        <family val="0"/>
      </rPr>
      <t>CT</t>
    </r>
    <r>
      <rPr>
        <sz val="10"/>
        <rFont val="Arial Cyr"/>
        <family val="0"/>
      </rPr>
      <t>=</t>
    </r>
  </si>
  <si>
    <t>Общее время движения до начала торможения, сек.</t>
  </si>
  <si>
    <r>
      <t>T</t>
    </r>
    <r>
      <rPr>
        <sz val="6"/>
        <rFont val="Arial Cyr"/>
        <family val="0"/>
      </rPr>
      <t>Σ</t>
    </r>
    <r>
      <rPr>
        <sz val="10"/>
        <rFont val="Arial Cyr"/>
        <family val="0"/>
      </rPr>
      <t>=</t>
    </r>
  </si>
  <si>
    <t>Ускорение в процессе торможения, м/с2</t>
  </si>
  <si>
    <r>
      <t>a</t>
    </r>
    <r>
      <rPr>
        <sz val="6"/>
        <rFont val="Arial Cyr"/>
        <family val="0"/>
      </rPr>
      <t>T</t>
    </r>
    <r>
      <rPr>
        <sz val="10"/>
        <rFont val="Arial Cyr"/>
        <family val="0"/>
      </rPr>
      <t>=</t>
    </r>
  </si>
  <si>
    <r>
      <t>a</t>
    </r>
    <r>
      <rPr>
        <sz val="6"/>
        <rFont val="Arial Cyr"/>
        <family val="0"/>
      </rPr>
      <t>T</t>
    </r>
    <r>
      <rPr>
        <sz val="10"/>
        <rFont val="Arial Cyr"/>
        <family val="0"/>
      </rPr>
      <t>≤[2g]</t>
    </r>
  </si>
  <si>
    <t>Провекрка условия на комфортность процесса торможения</t>
  </si>
  <si>
    <t>Расчет параметров системы торможения проектируемого троллейного спуска</t>
  </si>
  <si>
    <t>Жесткость тормозных пружин, Н/м</t>
  </si>
  <si>
    <t>k=</t>
  </si>
  <si>
    <t>Рабочая длина тормозных пружин, м</t>
  </si>
  <si>
    <t>Общая длина тормозных пружин, м</t>
  </si>
  <si>
    <t>Δl=</t>
  </si>
  <si>
    <t>l=</t>
  </si>
  <si>
    <t>Принятое количество используемых тормозных пружин, шт.</t>
  </si>
  <si>
    <t>n=</t>
  </si>
  <si>
    <t>Проверка условия "компактности" тормозного блока</t>
  </si>
  <si>
    <r>
      <t>m</t>
    </r>
    <r>
      <rPr>
        <sz val="6"/>
        <rFont val="Arial Cyr"/>
        <family val="0"/>
      </rPr>
      <t>G</t>
    </r>
    <r>
      <rPr>
        <sz val="10"/>
        <rFont val="Arial Cyr"/>
        <family val="0"/>
      </rPr>
      <t>=</t>
    </r>
  </si>
  <si>
    <r>
      <t>nl≤L</t>
    </r>
    <r>
      <rPr>
        <sz val="6"/>
        <rFont val="Arial Cyr"/>
        <family val="0"/>
      </rPr>
      <t>h</t>
    </r>
  </si>
  <si>
    <t>Передаточное число используемого полиспаста</t>
  </si>
  <si>
    <t>КПД используемых подшипников</t>
  </si>
  <si>
    <t>9.</t>
  </si>
  <si>
    <t>Общее число используемых подшипников</t>
  </si>
  <si>
    <t>η=</t>
  </si>
  <si>
    <t>z=</t>
  </si>
  <si>
    <t>Масса противовеса при высоте подъема не более 2,5м, кг</t>
  </si>
  <si>
    <t>Блок назначаемых констант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</si>
</sst>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sz val="10"/>
      <name val="Symbol"/>
      <family val="1"/>
    </font>
    <font>
      <sz val="6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8" fontId="0" fillId="0" borderId="10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168" fontId="0" fillId="33" borderId="10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8" fillId="34" borderId="19" xfId="0" applyFont="1" applyFill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2" fontId="8" fillId="35" borderId="10" xfId="0" applyNumberFormat="1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2" fontId="0" fillId="0" borderId="25" xfId="0" applyNumberFormat="1" applyBorder="1" applyAlignment="1" applyProtection="1">
      <alignment/>
      <protection/>
    </xf>
    <xf numFmtId="2" fontId="8" fillId="0" borderId="22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69" fontId="0" fillId="0" borderId="10" xfId="0" applyNumberFormat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12</xdr:row>
      <xdr:rowOff>95250</xdr:rowOff>
    </xdr:from>
    <xdr:to>
      <xdr:col>17</xdr:col>
      <xdr:colOff>419100</xdr:colOff>
      <xdr:row>24</xdr:row>
      <xdr:rowOff>104775</xdr:rowOff>
    </xdr:to>
    <xdr:pic>
      <xdr:nvPicPr>
        <xdr:cNvPr id="1" name="Picture 4" descr="Рис_5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2076450"/>
          <a:ext cx="45910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590550</xdr:colOff>
      <xdr:row>25</xdr:row>
      <xdr:rowOff>28575</xdr:rowOff>
    </xdr:from>
    <xdr:to>
      <xdr:col>18</xdr:col>
      <xdr:colOff>238125</xdr:colOff>
      <xdr:row>33</xdr:row>
      <xdr:rowOff>152400</xdr:rowOff>
    </xdr:to>
    <xdr:pic>
      <xdr:nvPicPr>
        <xdr:cNvPr id="2" name="Picture 5" descr="Рис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4114800"/>
          <a:ext cx="49530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48</xdr:row>
      <xdr:rowOff>85725</xdr:rowOff>
    </xdr:from>
    <xdr:to>
      <xdr:col>18</xdr:col>
      <xdr:colOff>533400</xdr:colOff>
      <xdr:row>60</xdr:row>
      <xdr:rowOff>9525</xdr:rowOff>
    </xdr:to>
    <xdr:pic>
      <xdr:nvPicPr>
        <xdr:cNvPr id="3" name="Picture 6" descr="Р3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7924800"/>
          <a:ext cx="52101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.125" style="2" customWidth="1"/>
    <col min="2" max="6" width="9.125" style="2" customWidth="1"/>
    <col min="7" max="7" width="10.375" style="2" customWidth="1"/>
    <col min="8" max="8" width="12.375" style="2" customWidth="1"/>
    <col min="9" max="9" width="9.375" style="2" customWidth="1"/>
    <col min="10" max="10" width="8.25390625" style="2" customWidth="1"/>
    <col min="11" max="11" width="8.625" style="2" customWidth="1"/>
    <col min="12" max="12" width="7.875" style="2" customWidth="1"/>
    <col min="13" max="13" width="8.375" style="2" customWidth="1"/>
    <col min="14" max="14" width="8.25390625" style="2" customWidth="1"/>
    <col min="15" max="16384" width="9.125" style="2" customWidth="1"/>
  </cols>
  <sheetData>
    <row r="1" ht="15.75">
      <c r="A1" s="1" t="s">
        <v>0</v>
      </c>
    </row>
    <row r="3" spans="1:12" ht="12.75">
      <c r="A3" s="3" t="s">
        <v>1</v>
      </c>
      <c r="L3" s="3" t="s">
        <v>118</v>
      </c>
    </row>
    <row r="4" spans="1:19" ht="12.75">
      <c r="A4" s="4" t="s">
        <v>2</v>
      </c>
      <c r="B4" s="2" t="s">
        <v>24</v>
      </c>
      <c r="H4" s="4" t="s">
        <v>12</v>
      </c>
      <c r="I4" s="42">
        <v>10</v>
      </c>
      <c r="K4" s="4" t="s">
        <v>2</v>
      </c>
      <c r="L4" s="2" t="s">
        <v>18</v>
      </c>
      <c r="R4" s="4" t="s">
        <v>57</v>
      </c>
      <c r="S4" s="5">
        <f>IF(I4=10,57.6,78.55)</f>
        <v>57.6</v>
      </c>
    </row>
    <row r="5" spans="1:19" ht="12.75">
      <c r="A5" s="4" t="s">
        <v>3</v>
      </c>
      <c r="B5" s="2" t="s">
        <v>4</v>
      </c>
      <c r="H5" s="4" t="s">
        <v>21</v>
      </c>
      <c r="I5" s="42">
        <v>2.5</v>
      </c>
      <c r="K5" s="4" t="s">
        <v>3</v>
      </c>
      <c r="L5" s="2" t="s">
        <v>22</v>
      </c>
      <c r="R5" s="6" t="s">
        <v>23</v>
      </c>
      <c r="S5" s="7">
        <f>IF(I4=10,0.388,0.527)</f>
        <v>0.388</v>
      </c>
    </row>
    <row r="6" spans="1:19" ht="12.75">
      <c r="A6" s="4" t="s">
        <v>5</v>
      </c>
      <c r="B6" s="2" t="s">
        <v>6</v>
      </c>
      <c r="H6" s="4" t="s">
        <v>13</v>
      </c>
      <c r="I6" s="42">
        <v>100</v>
      </c>
      <c r="K6" s="4" t="s">
        <v>5</v>
      </c>
      <c r="L6" s="2" t="s">
        <v>53</v>
      </c>
      <c r="R6" s="4" t="s">
        <v>55</v>
      </c>
      <c r="S6" s="8">
        <v>50</v>
      </c>
    </row>
    <row r="7" spans="1:19" ht="12.75">
      <c r="A7" s="4" t="s">
        <v>7</v>
      </c>
      <c r="B7" s="2" t="s">
        <v>8</v>
      </c>
      <c r="H7" s="4" t="s">
        <v>14</v>
      </c>
      <c r="I7" s="42">
        <v>111.55</v>
      </c>
      <c r="K7" s="4" t="s">
        <v>7</v>
      </c>
      <c r="L7" s="2" t="s">
        <v>100</v>
      </c>
      <c r="R7" s="4" t="s">
        <v>101</v>
      </c>
      <c r="S7" s="8">
        <v>820</v>
      </c>
    </row>
    <row r="8" spans="1:19" ht="12.75">
      <c r="A8" s="4" t="s">
        <v>9</v>
      </c>
      <c r="B8" s="2" t="s">
        <v>10</v>
      </c>
      <c r="H8" s="6" t="s">
        <v>15</v>
      </c>
      <c r="I8" s="42">
        <v>8.47</v>
      </c>
      <c r="K8" s="4" t="s">
        <v>9</v>
      </c>
      <c r="L8" s="2" t="s">
        <v>102</v>
      </c>
      <c r="R8" s="4" t="s">
        <v>104</v>
      </c>
      <c r="S8" s="9">
        <v>0.36</v>
      </c>
    </row>
    <row r="9" spans="1:19" ht="12.75">
      <c r="A9" s="4" t="s">
        <v>11</v>
      </c>
      <c r="B9" s="2" t="s">
        <v>27</v>
      </c>
      <c r="H9" s="6" t="s">
        <v>20</v>
      </c>
      <c r="I9" s="42">
        <v>151.5</v>
      </c>
      <c r="J9" s="10">
        <f>RADIANS(I9)</f>
        <v>2.644173816771409</v>
      </c>
      <c r="K9" s="4" t="s">
        <v>11</v>
      </c>
      <c r="L9" s="2" t="s">
        <v>103</v>
      </c>
      <c r="R9" s="4" t="s">
        <v>105</v>
      </c>
      <c r="S9" s="9">
        <v>0.4</v>
      </c>
    </row>
    <row r="10" spans="1:19" ht="12.75">
      <c r="A10" s="4" t="s">
        <v>16</v>
      </c>
      <c r="B10" s="2" t="s">
        <v>17</v>
      </c>
      <c r="H10" s="4" t="s">
        <v>19</v>
      </c>
      <c r="I10" s="42">
        <v>10</v>
      </c>
      <c r="K10" s="4" t="s">
        <v>16</v>
      </c>
      <c r="L10" s="2" t="s">
        <v>111</v>
      </c>
      <c r="R10" s="4" t="s">
        <v>81</v>
      </c>
      <c r="S10" s="11">
        <v>2</v>
      </c>
    </row>
    <row r="11" spans="11:19" ht="12.75">
      <c r="K11" s="4" t="s">
        <v>38</v>
      </c>
      <c r="L11" s="2" t="s">
        <v>112</v>
      </c>
      <c r="R11" s="4" t="s">
        <v>115</v>
      </c>
      <c r="S11" s="11">
        <v>0.99</v>
      </c>
    </row>
    <row r="12" spans="11:19" ht="12.75">
      <c r="K12" s="4" t="s">
        <v>113</v>
      </c>
      <c r="L12" s="2" t="s">
        <v>114</v>
      </c>
      <c r="R12" s="4" t="s">
        <v>116</v>
      </c>
      <c r="S12" s="11">
        <v>3</v>
      </c>
    </row>
    <row r="13" ht="12.75">
      <c r="A13" s="3" t="s">
        <v>25</v>
      </c>
    </row>
    <row r="14" spans="1:9" ht="12.75">
      <c r="A14" s="4" t="s">
        <v>2</v>
      </c>
      <c r="B14" s="2" t="s">
        <v>41</v>
      </c>
      <c r="H14" s="4" t="s">
        <v>26</v>
      </c>
      <c r="I14" s="7">
        <f>I7-I8</f>
        <v>103.08</v>
      </c>
    </row>
    <row r="15" spans="1:10" ht="12.75">
      <c r="A15" s="4" t="s">
        <v>3</v>
      </c>
      <c r="B15" s="2" t="s">
        <v>28</v>
      </c>
      <c r="H15" s="6" t="s">
        <v>29</v>
      </c>
      <c r="I15" s="12">
        <f>DEGREES(J15)</f>
        <v>14.022487814070075</v>
      </c>
      <c r="J15" s="10">
        <f>PI()-(J9+ASIN(I5/I10))</f>
        <v>0.24473858167630524</v>
      </c>
    </row>
    <row r="16" spans="1:9" ht="12.75">
      <c r="A16" s="4" t="s">
        <v>5</v>
      </c>
      <c r="B16" s="2" t="s">
        <v>33</v>
      </c>
      <c r="H16" s="4" t="s">
        <v>34</v>
      </c>
      <c r="I16" s="7">
        <f>I14-I10</f>
        <v>93.08</v>
      </c>
    </row>
    <row r="17" spans="1:9" ht="12.75">
      <c r="A17" s="4" t="s">
        <v>7</v>
      </c>
      <c r="B17" s="2" t="s">
        <v>30</v>
      </c>
      <c r="H17" s="4" t="s">
        <v>35</v>
      </c>
      <c r="I17" s="12">
        <f>I10*COS(PI()-(J15+J9))+I16*COS(J15)</f>
        <v>99.98873956716236</v>
      </c>
    </row>
    <row r="18" spans="1:9" ht="12.75">
      <c r="A18" s="4" t="s">
        <v>9</v>
      </c>
      <c r="B18" s="2" t="s">
        <v>31</v>
      </c>
      <c r="H18" s="4" t="s">
        <v>36</v>
      </c>
      <c r="I18" s="12">
        <f>I16*SIN(J15)-I5</f>
        <v>20.053535765587462</v>
      </c>
    </row>
    <row r="19" spans="1:9" ht="12.75">
      <c r="A19" s="4" t="s">
        <v>11</v>
      </c>
      <c r="B19" s="2" t="s">
        <v>32</v>
      </c>
      <c r="H19" s="4" t="s">
        <v>37</v>
      </c>
      <c r="I19" s="12">
        <f>SQRT(I17^2+I18^2)</f>
        <v>101.97986240886735</v>
      </c>
    </row>
    <row r="20" spans="1:9" ht="12.75">
      <c r="A20" s="4" t="s">
        <v>16</v>
      </c>
      <c r="B20" s="2" t="s">
        <v>39</v>
      </c>
      <c r="H20" s="4" t="s">
        <v>40</v>
      </c>
      <c r="I20" s="12">
        <f>SQRT((I17-I10)^2+I18^2)</f>
        <v>92.19608205118192</v>
      </c>
    </row>
    <row r="21" spans="1:9" ht="12.75">
      <c r="A21" s="4" t="s">
        <v>38</v>
      </c>
      <c r="B21" s="2" t="s">
        <v>42</v>
      </c>
      <c r="H21" s="4" t="s">
        <v>43</v>
      </c>
      <c r="I21" s="12">
        <f>I10+I20</f>
        <v>102.19608205118192</v>
      </c>
    </row>
    <row r="22" ht="12.75">
      <c r="A22" s="4"/>
    </row>
    <row r="23" ht="12.75">
      <c r="A23" s="4"/>
    </row>
    <row r="24" ht="12.75">
      <c r="A24" s="13" t="s">
        <v>44</v>
      </c>
    </row>
    <row r="25" spans="1:10" ht="12.75">
      <c r="A25" s="4" t="s">
        <v>2</v>
      </c>
      <c r="B25" s="2" t="s">
        <v>46</v>
      </c>
      <c r="H25" s="6" t="s">
        <v>45</v>
      </c>
      <c r="I25" s="12">
        <f>DEGREES(J25)</f>
        <v>172.54453603088209</v>
      </c>
      <c r="J25" s="10">
        <f>2*ASIN(I19/I21)</f>
        <v>3.011470260064881</v>
      </c>
    </row>
    <row r="26" spans="1:9" ht="12.75">
      <c r="A26" s="4" t="s">
        <v>3</v>
      </c>
      <c r="B26" s="2" t="s">
        <v>48</v>
      </c>
      <c r="H26" s="4" t="s">
        <v>47</v>
      </c>
      <c r="I26" s="5">
        <f>9.81*(I6+S5*I21)/1000</f>
        <v>1.369986903189773</v>
      </c>
    </row>
    <row r="27" spans="1:9" ht="12.75">
      <c r="A27" s="4" t="s">
        <v>5</v>
      </c>
      <c r="B27" s="2" t="s">
        <v>49</v>
      </c>
      <c r="H27" s="4" t="s">
        <v>52</v>
      </c>
      <c r="I27" s="5">
        <f>I26/(2*COS(J25/2))</f>
        <v>10.535879797835436</v>
      </c>
    </row>
    <row r="28" spans="1:9" ht="12.75">
      <c r="A28" s="4" t="s">
        <v>7</v>
      </c>
      <c r="B28" s="2" t="s">
        <v>50</v>
      </c>
      <c r="H28" s="4" t="s">
        <v>56</v>
      </c>
      <c r="I28" s="14" t="str">
        <f>IF(I27&lt;=S4,"Условие выполняется","Условие не выполняется")</f>
        <v>Условие выполняется</v>
      </c>
    </row>
    <row r="29" spans="1:9" ht="12.75">
      <c r="A29" s="4" t="s">
        <v>9</v>
      </c>
      <c r="B29" s="2" t="s">
        <v>51</v>
      </c>
      <c r="H29" s="4" t="s">
        <v>54</v>
      </c>
      <c r="I29" s="14" t="str">
        <f>IF(I27*I5&lt;=S6,"Условие выполняется","Условие не выполняется")</f>
        <v>Условие выполняется</v>
      </c>
    </row>
    <row r="30" ht="12.75">
      <c r="A30" s="4"/>
    </row>
    <row r="31" ht="12.75">
      <c r="A31" s="4"/>
    </row>
    <row r="32" ht="12.75">
      <c r="A32" s="13" t="s">
        <v>58</v>
      </c>
    </row>
    <row r="33" spans="1:9" ht="12.75">
      <c r="A33" s="4" t="s">
        <v>2</v>
      </c>
      <c r="B33" s="2" t="s">
        <v>59</v>
      </c>
      <c r="H33" s="4" t="s">
        <v>60</v>
      </c>
      <c r="I33" s="15">
        <v>10</v>
      </c>
    </row>
    <row r="34" spans="1:9" ht="12.75">
      <c r="A34" s="4" t="s">
        <v>3</v>
      </c>
      <c r="B34" s="2" t="s">
        <v>61</v>
      </c>
      <c r="H34" s="4" t="s">
        <v>62</v>
      </c>
      <c r="I34" s="12">
        <f>(I19-I10)/I33</f>
        <v>9.197986240886735</v>
      </c>
    </row>
    <row r="35" spans="1:10" ht="12.75">
      <c r="A35" s="4" t="s">
        <v>5</v>
      </c>
      <c r="B35" s="2" t="s">
        <v>90</v>
      </c>
      <c r="H35" s="4" t="s">
        <v>81</v>
      </c>
      <c r="I35" s="12">
        <f>DEGREES(J35)</f>
        <v>11.34066733147179</v>
      </c>
      <c r="J35" s="10">
        <f>ATAN(I18/I17)</f>
        <v>0.19793198430754189</v>
      </c>
    </row>
    <row r="36" spans="1:2" ht="13.5" thickBot="1">
      <c r="A36" s="4" t="s">
        <v>7</v>
      </c>
      <c r="B36" s="2" t="s">
        <v>63</v>
      </c>
    </row>
    <row r="37" spans="2:15" ht="13.5" thickBot="1">
      <c r="B37" s="16" t="s">
        <v>64</v>
      </c>
      <c r="C37" s="17" t="s">
        <v>65</v>
      </c>
      <c r="D37" s="18" t="s">
        <v>66</v>
      </c>
      <c r="E37" s="18" t="s">
        <v>67</v>
      </c>
      <c r="F37" s="18" t="s">
        <v>68</v>
      </c>
      <c r="G37" s="18" t="s">
        <v>69</v>
      </c>
      <c r="H37" s="18" t="s">
        <v>70</v>
      </c>
      <c r="I37" s="18" t="s">
        <v>71</v>
      </c>
      <c r="J37" s="18" t="s">
        <v>72</v>
      </c>
      <c r="K37" s="18" t="s">
        <v>73</v>
      </c>
      <c r="L37" s="18" t="s">
        <v>74</v>
      </c>
      <c r="M37" s="18" t="s">
        <v>75</v>
      </c>
      <c r="N37" s="19" t="s">
        <v>76</v>
      </c>
      <c r="O37" s="20" t="s">
        <v>89</v>
      </c>
    </row>
    <row r="38" spans="2:15" ht="12.75">
      <c r="B38" s="21" t="s">
        <v>77</v>
      </c>
      <c r="C38" s="22"/>
      <c r="D38" s="23">
        <v>10</v>
      </c>
      <c r="E38" s="23">
        <v>9</v>
      </c>
      <c r="F38" s="23">
        <v>8</v>
      </c>
      <c r="G38" s="23">
        <v>7</v>
      </c>
      <c r="H38" s="23">
        <v>6</v>
      </c>
      <c r="I38" s="23">
        <v>5</v>
      </c>
      <c r="J38" s="23">
        <v>4</v>
      </c>
      <c r="K38" s="23">
        <v>3</v>
      </c>
      <c r="L38" s="23">
        <v>2</v>
      </c>
      <c r="M38" s="23">
        <v>1</v>
      </c>
      <c r="N38" s="24">
        <v>0</v>
      </c>
      <c r="O38" s="25"/>
    </row>
    <row r="39" spans="2:15" ht="12.75">
      <c r="B39" s="26" t="s">
        <v>78</v>
      </c>
      <c r="C39" s="27">
        <v>101.98</v>
      </c>
      <c r="D39" s="12">
        <f aca="true" t="shared" si="0" ref="D39:L39">$N$39+$I$34*D38</f>
        <v>91.97986240886735</v>
      </c>
      <c r="E39" s="12">
        <f t="shared" si="0"/>
        <v>82.78187616798061</v>
      </c>
      <c r="F39" s="12">
        <f t="shared" si="0"/>
        <v>73.58388992709388</v>
      </c>
      <c r="G39" s="12">
        <f t="shared" si="0"/>
        <v>64.38590368620714</v>
      </c>
      <c r="H39" s="12">
        <f t="shared" si="0"/>
        <v>55.18791744532041</v>
      </c>
      <c r="I39" s="12">
        <f t="shared" si="0"/>
        <v>45.989931204433674</v>
      </c>
      <c r="J39" s="12">
        <f t="shared" si="0"/>
        <v>36.79194496354694</v>
      </c>
      <c r="K39" s="12">
        <f t="shared" si="0"/>
        <v>27.593958722660204</v>
      </c>
      <c r="L39" s="12">
        <f t="shared" si="0"/>
        <v>18.39597248177347</v>
      </c>
      <c r="M39" s="12">
        <f>$N$39+$I$34*M38</f>
        <v>9.197986240886735</v>
      </c>
      <c r="N39" s="28">
        <v>0</v>
      </c>
      <c r="O39" s="29"/>
    </row>
    <row r="40" spans="2:15" ht="12.75">
      <c r="B40" s="26" t="s">
        <v>79</v>
      </c>
      <c r="C40" s="27">
        <f aca="true" t="shared" si="1" ref="C40:M40">($I$21^2-2*C39^2-$I$19^2+2*$I$19*C39)/2</f>
        <v>22.059393296487542</v>
      </c>
      <c r="D40" s="12">
        <f t="shared" si="1"/>
        <v>941.872048928868</v>
      </c>
      <c r="E40" s="12">
        <f t="shared" si="1"/>
        <v>1611.3187445078775</v>
      </c>
      <c r="F40" s="12">
        <f t="shared" si="1"/>
        <v>2111.5595383118007</v>
      </c>
      <c r="G40" s="12">
        <f t="shared" si="1"/>
        <v>2442.5944303406422</v>
      </c>
      <c r="H40" s="12">
        <f t="shared" si="1"/>
        <v>2604.4234205943994</v>
      </c>
      <c r="I40" s="12">
        <f t="shared" si="1"/>
        <v>2597.0465090730736</v>
      </c>
      <c r="J40" s="12">
        <f t="shared" si="1"/>
        <v>2420.4636957766647</v>
      </c>
      <c r="K40" s="12">
        <f t="shared" si="1"/>
        <v>2074.674980705172</v>
      </c>
      <c r="L40" s="12">
        <f t="shared" si="1"/>
        <v>1559.6803638585964</v>
      </c>
      <c r="M40" s="12">
        <f t="shared" si="1"/>
        <v>875.4798452369374</v>
      </c>
      <c r="N40" s="28">
        <f>($I$21^2-2*N39^2-$I$19^2+2*$I$19*N39)/2</f>
        <v>22.073424840195003</v>
      </c>
      <c r="O40" s="29"/>
    </row>
    <row r="41" spans="2:15" ht="12.75">
      <c r="B41" s="26" t="s">
        <v>80</v>
      </c>
      <c r="C41" s="27">
        <v>0</v>
      </c>
      <c r="D41" s="12">
        <f aca="true" t="shared" si="2" ref="D41:M41">SQRT((D40^2-(D39^2)*($I$19-D39)^2)/(D39^2+($I$19-D39)^2+2*D40))</f>
        <v>1.9835906084064079</v>
      </c>
      <c r="E41" s="12">
        <f t="shared" si="2"/>
        <v>2.6008414446493147</v>
      </c>
      <c r="F41" s="12">
        <f t="shared" si="2"/>
        <v>2.9797464785024648</v>
      </c>
      <c r="G41" s="12">
        <f t="shared" si="2"/>
        <v>3.205958557060069</v>
      </c>
      <c r="H41" s="12">
        <f t="shared" si="2"/>
        <v>3.3109243121099516</v>
      </c>
      <c r="I41" s="12">
        <f t="shared" si="2"/>
        <v>3.3062119818533837</v>
      </c>
      <c r="J41" s="12">
        <f t="shared" si="2"/>
        <v>3.1913357508850355</v>
      </c>
      <c r="K41" s="12">
        <f t="shared" si="2"/>
        <v>2.9534688788437315</v>
      </c>
      <c r="L41" s="12">
        <f t="shared" si="2"/>
        <v>2.5585349908133295</v>
      </c>
      <c r="M41" s="12">
        <f t="shared" si="2"/>
        <v>1.9115419214941658</v>
      </c>
      <c r="N41" s="28">
        <v>0</v>
      </c>
      <c r="O41" s="29"/>
    </row>
    <row r="42" spans="2:15" ht="12.75">
      <c r="B42" s="26" t="s">
        <v>82</v>
      </c>
      <c r="C42" s="27">
        <f aca="true" t="shared" si="3" ref="C42:M42">SQRT(C39^2+C41^2)*COS(ATAN(C41/C39)+$J$35)</f>
        <v>99.98887447187398</v>
      </c>
      <c r="D42" s="12">
        <f t="shared" si="3"/>
        <v>89.79392878468397</v>
      </c>
      <c r="E42" s="12">
        <f t="shared" si="3"/>
        <v>80.65415265156517</v>
      </c>
      <c r="F42" s="12">
        <f t="shared" si="3"/>
        <v>71.56124534097567</v>
      </c>
      <c r="G42" s="12">
        <f t="shared" si="3"/>
        <v>62.49836389596241</v>
      </c>
      <c r="H42" s="12">
        <f t="shared" si="3"/>
        <v>53.45932458436134</v>
      </c>
      <c r="I42" s="12">
        <f t="shared" si="3"/>
        <v>44.44185260335319</v>
      </c>
      <c r="J42" s="12">
        <f t="shared" si="3"/>
        <v>35.44604348470647</v>
      </c>
      <c r="K42" s="12">
        <f t="shared" si="3"/>
        <v>26.474419505766065</v>
      </c>
      <c r="L42" s="12">
        <f t="shared" si="3"/>
        <v>17.53368151694499</v>
      </c>
      <c r="M42" s="12">
        <f t="shared" si="3"/>
        <v>8.642508978474826</v>
      </c>
      <c r="N42" s="28">
        <v>0</v>
      </c>
      <c r="O42" s="29"/>
    </row>
    <row r="43" spans="2:15" ht="12.75">
      <c r="B43" s="26" t="s">
        <v>83</v>
      </c>
      <c r="C43" s="27">
        <f>I18</f>
        <v>20.053535765587462</v>
      </c>
      <c r="D43" s="12">
        <f aca="true" t="shared" si="4" ref="D43:M43">SQRT(D39^2+D41^2)*SIN(ATAN(D41/D39+$J$35))</f>
        <v>19.72447659397706</v>
      </c>
      <c r="E43" s="12">
        <f t="shared" si="4"/>
        <v>18.514681834974972</v>
      </c>
      <c r="F43" s="12">
        <f t="shared" si="4"/>
        <v>17.07996644273051</v>
      </c>
      <c r="G43" s="12">
        <f t="shared" si="4"/>
        <v>15.501194557378428</v>
      </c>
      <c r="H43" s="12">
        <f t="shared" si="4"/>
        <v>13.808071186535908</v>
      </c>
      <c r="I43" s="12">
        <f t="shared" si="4"/>
        <v>12.011552520923788</v>
      </c>
      <c r="J43" s="12">
        <f t="shared" si="4"/>
        <v>10.111247166563828</v>
      </c>
      <c r="K43" s="12">
        <f t="shared" si="4"/>
        <v>8.095187707864213</v>
      </c>
      <c r="L43" s="12">
        <f t="shared" si="4"/>
        <v>5.931570680320275</v>
      </c>
      <c r="M43" s="12">
        <f t="shared" si="4"/>
        <v>3.532172269367896</v>
      </c>
      <c r="N43" s="28">
        <v>0</v>
      </c>
      <c r="O43" s="29"/>
    </row>
    <row r="44" spans="2:15" ht="12.75">
      <c r="B44" s="26" t="s">
        <v>84</v>
      </c>
      <c r="C44" s="27">
        <f>C42-D42</f>
        <v>10.194945687190014</v>
      </c>
      <c r="D44" s="12">
        <f>D42-E42</f>
        <v>9.1397761331188</v>
      </c>
      <c r="E44" s="12">
        <f>E42-F42</f>
        <v>9.092907310589496</v>
      </c>
      <c r="F44" s="12">
        <f>F42-G42</f>
        <v>9.06288144501326</v>
      </c>
      <c r="G44" s="12">
        <f aca="true" t="shared" si="5" ref="G44:L44">G42-H42</f>
        <v>9.039039311601073</v>
      </c>
      <c r="H44" s="12">
        <f t="shared" si="5"/>
        <v>9.01747198100815</v>
      </c>
      <c r="I44" s="12">
        <f t="shared" si="5"/>
        <v>8.995809118646719</v>
      </c>
      <c r="J44" s="12">
        <f t="shared" si="5"/>
        <v>8.971623978940407</v>
      </c>
      <c r="K44" s="12">
        <f t="shared" si="5"/>
        <v>8.940737988821073</v>
      </c>
      <c r="L44" s="12">
        <f t="shared" si="5"/>
        <v>8.891172538470165</v>
      </c>
      <c r="M44" s="12">
        <f>M42-N42</f>
        <v>8.642508978474826</v>
      </c>
      <c r="N44" s="28">
        <v>0</v>
      </c>
      <c r="O44" s="29"/>
    </row>
    <row r="45" spans="2:15" ht="12.75">
      <c r="B45" s="26" t="s">
        <v>85</v>
      </c>
      <c r="C45" s="27">
        <f aca="true" t="shared" si="6" ref="C45:L45">C43-D43</f>
        <v>0.3290591716104032</v>
      </c>
      <c r="D45" s="12">
        <f t="shared" si="6"/>
        <v>1.2097947590020866</v>
      </c>
      <c r="E45" s="12">
        <f t="shared" si="6"/>
        <v>1.4347153922444633</v>
      </c>
      <c r="F45" s="12">
        <f t="shared" si="6"/>
        <v>1.5787718853520811</v>
      </c>
      <c r="G45" s="12">
        <f t="shared" si="6"/>
        <v>1.6931233708425193</v>
      </c>
      <c r="H45" s="12">
        <f t="shared" si="6"/>
        <v>1.7965186656121208</v>
      </c>
      <c r="I45" s="12">
        <f t="shared" si="6"/>
        <v>1.9003053543599595</v>
      </c>
      <c r="J45" s="12">
        <f t="shared" si="6"/>
        <v>2.0160594586996154</v>
      </c>
      <c r="K45" s="12">
        <f t="shared" si="6"/>
        <v>2.163617027543938</v>
      </c>
      <c r="L45" s="12">
        <f t="shared" si="6"/>
        <v>2.3993984109523785</v>
      </c>
      <c r="M45" s="12">
        <f>M43-N43</f>
        <v>3.532172269367896</v>
      </c>
      <c r="N45" s="28">
        <v>0</v>
      </c>
      <c r="O45" s="29"/>
    </row>
    <row r="46" spans="2:15" ht="12.75">
      <c r="B46" s="26" t="s">
        <v>86</v>
      </c>
      <c r="C46" s="27">
        <f aca="true" t="shared" si="7" ref="C46:M46">SQRT(C44^2+C45^2)</f>
        <v>10.2002547763855</v>
      </c>
      <c r="D46" s="12">
        <f t="shared" si="7"/>
        <v>9.219496251012686</v>
      </c>
      <c r="E46" s="12">
        <f t="shared" si="7"/>
        <v>9.205399047065535</v>
      </c>
      <c r="F46" s="12">
        <f t="shared" si="7"/>
        <v>9.199366323412924</v>
      </c>
      <c r="G46" s="12">
        <f t="shared" si="7"/>
        <v>9.196243712818987</v>
      </c>
      <c r="H46" s="12">
        <f t="shared" si="7"/>
        <v>9.1946876099278</v>
      </c>
      <c r="I46" s="12">
        <f t="shared" si="7"/>
        <v>9.194332065948922</v>
      </c>
      <c r="J46" s="12">
        <f t="shared" si="7"/>
        <v>9.19535385727546</v>
      </c>
      <c r="K46" s="12">
        <f t="shared" si="7"/>
        <v>9.198806141376519</v>
      </c>
      <c r="L46" s="12">
        <f t="shared" si="7"/>
        <v>9.209237853553724</v>
      </c>
      <c r="M46" s="12">
        <f t="shared" si="7"/>
        <v>9.336444847130492</v>
      </c>
      <c r="N46" s="28">
        <f>SQRT(N44^2+N45^2)</f>
        <v>0</v>
      </c>
      <c r="O46" s="29"/>
    </row>
    <row r="47" spans="2:15" ht="12.75">
      <c r="B47" s="26" t="s">
        <v>87</v>
      </c>
      <c r="C47" s="27">
        <v>0</v>
      </c>
      <c r="D47" s="30">
        <f>SQRT(9.81*D45+(E47^2)/2)</f>
        <v>5.212678464935153</v>
      </c>
      <c r="E47" s="12">
        <f>SQRT(9.81*E45+(F47^2)/2)</f>
        <v>5.532437110892131</v>
      </c>
      <c r="F47" s="12">
        <f>SQRT(9.81*F45+(G47^2)/2)</f>
        <v>5.750356925975688</v>
      </c>
      <c r="G47" s="12">
        <f aca="true" t="shared" si="8" ref="G47:L47">SQRT(9.81*G45+(H47^2)/2)</f>
        <v>5.929393321548613</v>
      </c>
      <c r="H47" s="12">
        <f t="shared" si="8"/>
        <v>6.0906756429250395</v>
      </c>
      <c r="I47" s="12">
        <f t="shared" si="8"/>
        <v>6.240589984555216</v>
      </c>
      <c r="J47" s="12">
        <f t="shared" si="8"/>
        <v>6.372278686476238</v>
      </c>
      <c r="K47" s="12">
        <f t="shared" si="8"/>
        <v>6.454206747273611</v>
      </c>
      <c r="L47" s="12">
        <f t="shared" si="8"/>
        <v>6.392448935477886</v>
      </c>
      <c r="M47" s="12">
        <f>SQRT(9.81*M45+(N47^2)/2)</f>
        <v>5.8864768718223175</v>
      </c>
      <c r="N47" s="28">
        <v>0</v>
      </c>
      <c r="O47" s="29"/>
    </row>
    <row r="48" spans="2:15" ht="13.5" thickBot="1">
      <c r="B48" s="31" t="s">
        <v>88</v>
      </c>
      <c r="C48" s="32"/>
      <c r="D48" s="33">
        <f aca="true" t="shared" si="9" ref="D48:L48">(2*D46)/(D47+E47)</f>
        <v>1.7160348226971698</v>
      </c>
      <c r="E48" s="33">
        <f t="shared" si="9"/>
        <v>1.631758767728249</v>
      </c>
      <c r="F48" s="33">
        <f t="shared" si="9"/>
        <v>1.5752676433064772</v>
      </c>
      <c r="G48" s="33">
        <f t="shared" si="9"/>
        <v>1.5301482445731844</v>
      </c>
      <c r="H48" s="33">
        <f t="shared" si="9"/>
        <v>1.4912804391201202</v>
      </c>
      <c r="I48" s="33">
        <f t="shared" si="9"/>
        <v>1.457928771916251</v>
      </c>
      <c r="J48" s="33">
        <f t="shared" si="9"/>
        <v>1.4338072427977928</v>
      </c>
      <c r="K48" s="33">
        <f t="shared" si="9"/>
        <v>1.4320935142252242</v>
      </c>
      <c r="L48" s="33">
        <f t="shared" si="9"/>
        <v>1.5000070849973772</v>
      </c>
      <c r="M48" s="33">
        <f>(M46)/(M47+N47)</f>
        <v>1.5860836711722515</v>
      </c>
      <c r="N48" s="34">
        <v>0</v>
      </c>
      <c r="O48" s="35">
        <f>SUM(D48:N48)</f>
        <v>15.354410202534098</v>
      </c>
    </row>
    <row r="49" spans="2:15" ht="12.75"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</row>
    <row r="50" spans="1:9" ht="12.75">
      <c r="A50" s="2" t="s">
        <v>9</v>
      </c>
      <c r="B50" s="38" t="s">
        <v>91</v>
      </c>
      <c r="C50" s="39"/>
      <c r="H50" s="4" t="s">
        <v>92</v>
      </c>
      <c r="I50" s="12">
        <f>D47</f>
        <v>5.212678464935153</v>
      </c>
    </row>
    <row r="51" spans="1:9" ht="12.75">
      <c r="A51" s="2" t="s">
        <v>11</v>
      </c>
      <c r="B51" s="38" t="s">
        <v>93</v>
      </c>
      <c r="C51" s="39"/>
      <c r="H51" s="4" t="s">
        <v>94</v>
      </c>
      <c r="I51" s="12">
        <f>O48</f>
        <v>15.354410202534098</v>
      </c>
    </row>
    <row r="52" spans="1:9" ht="12.75">
      <c r="A52" s="2" t="s">
        <v>16</v>
      </c>
      <c r="B52" s="39" t="s">
        <v>95</v>
      </c>
      <c r="C52" s="39"/>
      <c r="H52" s="4" t="s">
        <v>96</v>
      </c>
      <c r="I52" s="12">
        <f>(I50^2)/(2*I5)</f>
        <v>5.43440335575974</v>
      </c>
    </row>
    <row r="53" spans="1:9" ht="12.75">
      <c r="A53" s="2" t="s">
        <v>38</v>
      </c>
      <c r="B53" s="2" t="s">
        <v>98</v>
      </c>
      <c r="H53" s="4" t="s">
        <v>97</v>
      </c>
      <c r="I53" s="14" t="str">
        <f>IF(I52&lt;=19.62,"Условие выполняется","Условие не выполняется")</f>
        <v>Условие выполняется</v>
      </c>
    </row>
    <row r="56" ht="12.75">
      <c r="A56" s="13" t="s">
        <v>99</v>
      </c>
    </row>
    <row r="57" spans="1:10" ht="12.75">
      <c r="A57" s="2" t="s">
        <v>2</v>
      </c>
      <c r="B57" s="2" t="s">
        <v>106</v>
      </c>
      <c r="H57" s="4" t="s">
        <v>107</v>
      </c>
      <c r="I57" s="40">
        <f>IF(J57-INT(J57)&gt;=0,INT(J57)+1,INT(J57))</f>
        <v>6</v>
      </c>
      <c r="J57" s="10">
        <f>(I50/S8)*SQRT(I6/S7)</f>
        <v>5.056517447244958</v>
      </c>
    </row>
    <row r="58" spans="1:9" ht="12.75">
      <c r="A58" s="2" t="s">
        <v>3</v>
      </c>
      <c r="B58" s="2" t="s">
        <v>108</v>
      </c>
      <c r="H58" s="4" t="s">
        <v>110</v>
      </c>
      <c r="I58" s="14" t="str">
        <f>IF(I57*S9&lt;=I5,"Условие выполняется","Условие не выполняется")</f>
        <v>Условие выполняется</v>
      </c>
    </row>
    <row r="59" spans="1:9" ht="12.75">
      <c r="A59" s="2" t="s">
        <v>5</v>
      </c>
      <c r="B59" s="2" t="s">
        <v>117</v>
      </c>
      <c r="H59" s="4" t="s">
        <v>109</v>
      </c>
      <c r="I59" s="41">
        <f>(S10*S11^S12*I6*I50^2)/(2*9.81*I5)</f>
        <v>107.50246975923181</v>
      </c>
    </row>
  </sheetData>
  <sheetProtection password="DC49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Анохин</dc:creator>
  <cp:keywords/>
  <dc:description/>
  <cp:lastModifiedBy>User</cp:lastModifiedBy>
  <dcterms:created xsi:type="dcterms:W3CDTF">2017-03-25T08:48:20Z</dcterms:created>
  <dcterms:modified xsi:type="dcterms:W3CDTF">2017-04-03T07:20:55Z</dcterms:modified>
  <cp:category/>
  <cp:version/>
  <cp:contentType/>
  <cp:contentStatus/>
</cp:coreProperties>
</file>